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5985" activeTab="0"/>
  </bookViews>
  <sheets>
    <sheet name="masb26" sheetId="1" r:id="rId1"/>
  </sheets>
  <externalReferences>
    <externalReference r:id="rId4"/>
  </externalReferences>
  <definedNames>
    <definedName name="_xlnm.Print_Area" localSheetId="0">'masb26'!$A$1:$M$182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<sst xmlns="http://schemas.openxmlformats.org/spreadsheetml/2006/main" count="137" uniqueCount="104">
  <si>
    <t>The Board of Directors of Ann Joo Resources Berhad is pleased to announce the unaudited results for the</t>
  </si>
  <si>
    <t>first financial quarter ended 31 March 2004.</t>
  </si>
  <si>
    <t>Condensed Consolidated Income Statements</t>
  </si>
  <si>
    <t>For the quarter ended 31 March 2004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</si>
  <si>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</si>
  <si>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</si>
  <si>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</si>
  <si>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</si>
  <si>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</si>
  <si>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</si>
  <si>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</si>
  <si>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31.03.04</t>
  </si>
  <si>
    <t>31.03.03</t>
  </si>
  <si>
    <t>RM'000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</si>
  <si>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</si>
  <si>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</si>
  <si>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</si>
  <si>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</si>
  <si>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</si>
  <si>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</si>
  <si>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Taxation</t>
  </si>
  <si>
    <t>Taxation</t>
  </si>
  <si>
    <t>Profit After Taxation</t>
  </si>
  <si>
    <t>Minority Interest</t>
  </si>
  <si>
    <t>Net Profit for the period</t>
  </si>
  <si>
    <t>Earnings per share (sen) :-</t>
  </si>
  <si>
    <t>Basic</t>
  </si>
  <si>
    <t>Diluted</t>
  </si>
  <si>
    <t>N/A</t>
  </si>
  <si>
    <t>(The Condensed Consolidated Income Statements should be read in conjunction with the Audited Financial Report for the year ended 31st December 2003)</t>
  </si>
  <si>
    <t>Condensed Consolidated Balance Sheets</t>
  </si>
  <si>
    <t>As at 31 Marh 2004</t>
  </si>
  <si>
    <t>As at</t>
  </si>
  <si>
    <t>31.03.2004</t>
  </si>
  <si>
    <t>31.12.2003</t>
  </si>
  <si>
    <t>Property, Plant and Equipment</t>
  </si>
  <si>
    <t>Investment in Associated Companies</t>
  </si>
  <si>
    <t>Investments</t>
  </si>
  <si>
    <t>Intangible Assets</t>
  </si>
  <si>
    <t>Current Assets</t>
  </si>
  <si>
    <t>Inventories</t>
  </si>
  <si>
    <t>Receivables</t>
  </si>
  <si>
    <t>Tax recoverable</t>
  </si>
  <si>
    <t>Cash and cash equivalents</t>
  </si>
  <si>
    <t>Current Liabilities</t>
  </si>
  <si>
    <t>Payables</t>
  </si>
  <si>
    <t>Overdraft and short term borrowings</t>
  </si>
  <si>
    <t>Net Current Assets</t>
  </si>
  <si>
    <t>Share Capital</t>
  </si>
  <si>
    <t>Reserves</t>
  </si>
  <si>
    <t>Treasury shares</t>
  </si>
  <si>
    <t>Shareholders' Fund</t>
  </si>
  <si>
    <t>Minority Interests</t>
  </si>
  <si>
    <t>Long Term Liabilities</t>
  </si>
  <si>
    <t>Borrowings</t>
  </si>
  <si>
    <t>Other deferred liabilities</t>
  </si>
  <si>
    <t>Net Tangible Assets per share (RM)</t>
  </si>
  <si>
    <t>(The Condensed Consolidated Balance Sheets should be read in conjunction with the Audited Financial Report for the year ended 31 st December 2003)</t>
  </si>
  <si>
    <t>Condensed Consolidated Cash Flow Statements</t>
  </si>
  <si>
    <t>Current Year</t>
  </si>
  <si>
    <t>Ended</t>
  </si>
  <si>
    <t>31.03.2003</t>
  </si>
  <si>
    <t>Net Profit before tax</t>
  </si>
  <si>
    <t>Adjustments for non-cash items</t>
  </si>
  <si>
    <t>Operating profit before working capital changes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</si>
  <si>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</si>
  <si>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</si>
  <si>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</si>
  <si>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</si>
  <si>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</si>
  <si>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</si>
  <si>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>Equity investments</t>
  </si>
  <si>
    <t>Other investments</t>
  </si>
  <si>
    <t>Net cash flows from investing activities</t>
  </si>
  <si>
    <t>Financing Activities</t>
  </si>
  <si>
    <t>Transactions with owners as owners</t>
  </si>
  <si>
    <t>Bank borrowings</t>
  </si>
  <si>
    <t>Net cash flows from financing activities</t>
  </si>
  <si>
    <t>Net Change in Cash &amp; Cash Equivalents</t>
  </si>
  <si>
    <t>Cash and cash equivalents at beginning of the financial year</t>
  </si>
  <si>
    <t>Cash and cash equivalents at end of the financial period</t>
  </si>
  <si>
    <t>Note :</t>
  </si>
  <si>
    <t>The comparative information for the preceding year's corresponding quarter has not been</t>
  </si>
  <si>
    <t>presented as such information is not readily available.</t>
  </si>
  <si>
    <t>(The Condensed Consolidated Cash Flow Statements should be read in conjunction with the Audited Financial Report for the year ended 31 st December 2003)</t>
  </si>
  <si>
    <t>Condensed Consolidated Statements of Changes in Equity</t>
  </si>
  <si>
    <t>Reserve</t>
  </si>
  <si>
    <t>Share</t>
  </si>
  <si>
    <t>attributable</t>
  </si>
  <si>
    <t>Accumulated</t>
  </si>
  <si>
    <t>Treasury</t>
  </si>
  <si>
    <t>capital</t>
  </si>
  <si>
    <t>to capital</t>
  </si>
  <si>
    <t>profits</t>
  </si>
  <si>
    <t>Shares</t>
  </si>
  <si>
    <t>Total</t>
  </si>
  <si>
    <t>3 months quarter</t>
  </si>
  <si>
    <t>ended 31 March 2004</t>
  </si>
  <si>
    <t>Balance at beginning of year</t>
  </si>
  <si>
    <t>Movements during the period</t>
  </si>
  <si>
    <t>Balance at end of the period</t>
  </si>
  <si>
    <t>ended 31 March 2003</t>
  </si>
  <si>
    <t>(The Condensed Consolidated Statements of Changes in Equity should be read in conjunction with the Audited Financial Report for the year ended 31 st December 2003)</t>
  </si>
  <si>
    <r>
      <t xml:space="preserve">ANN JOO RESOURCES BERHAD </t>
    </r>
    <r>
      <rPr>
        <b/>
        <sz val="8"/>
        <rFont val="Times New Roman"/>
        <family val="1"/>
      </rPr>
      <t>(371152-U)</t>
    </r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</si>
</sst>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"/>
    <numFmt numFmtId="179" formatCode="#,##0.0000_);\(#,##0.0000\)"/>
    <numFmt numFmtId="180" formatCode="#,##0.0000000000_);\(#,##0.0000000000\)"/>
    <numFmt numFmtId="181" formatCode="#,##0.00000000"/>
    <numFmt numFmtId="182" formatCode="#,##0.0000000000000000_);\(#,##0.0000000000000000\)"/>
    <numFmt numFmtId="183" formatCode="0.0%"/>
    <numFmt numFmtId="184" formatCode="#,##0.0"/>
    <numFmt numFmtId="185" formatCode="#,##0.0000000_);\(#,##0.0000000\)"/>
    <numFmt numFmtId="186" formatCode="#,##0.0000000000"/>
    <numFmt numFmtId="187" formatCode="#,##0.00000000000_);\(#,##0.00000000000\)"/>
    <numFmt numFmtId="188" formatCode="#,##0.0_);\(#,##0.0\)"/>
    <numFmt numFmtId="189" formatCode="#,##0.0000"/>
    <numFmt numFmtId="190" formatCode="#,##0.000000000_);\(#,##0.000000000\)"/>
    <numFmt numFmtId="191" formatCode="#,##0.00000_);\(#,##0.00000\)"/>
    <numFmt numFmtId="192" formatCode="#,##0.000000000"/>
    <numFmt numFmtId="193" formatCode="0.0000%"/>
    <numFmt numFmtId="194" formatCode="#,##0.00000000_);\(#,##0.00000000\)"/>
    <numFmt numFmtId="195" formatCode="#,##0.000000"/>
    <numFmt numFmtId="196" formatCode="#,##0.000000_);\(#,##0.000000\)"/>
    <numFmt numFmtId="197" formatCode="#,##0.00000000000000_);\(#,##0.00000000000000\)"/>
    <numFmt numFmtId="198" formatCode="#,##0.00000000000"/>
    <numFmt numFmtId="199" formatCode="_(* #,##0.0_);_(* \(#,##0.0\);_(* &quot;-&quot;_);_(@_)"/>
    <numFmt numFmtId="200" formatCode="_(* #,##0.00_);_(* \(#,##0.00\);_(* &quot;-&quot;_);_(@_)"/>
    <numFmt numFmtId="201" formatCode="_(* #,##0.000_);_(* \(#,##0.000\);_(* &quot;-&quot;_);_(@_)"/>
    <numFmt numFmtId="202" formatCode="#,##0.000_);\(#,##0.000\)"/>
    <numFmt numFmtId="203" formatCode="_(* #,##0_);_(* \(#,##0\);_(* &quot;-&quot;??_);_(@_)"/>
    <numFmt numFmtId="204" formatCode="_(* #,##0.0_);_(* \(#,##0.0\);_(* &quot;-&quot;??_);_(@_)"/>
    <numFmt numFmtId="205" formatCode="0.000%"/>
    <numFmt numFmtId="206" formatCode="_(* #,##0.0_);_(* \(#,##0.0\);_(* &quot;-&quot;?_);_(@_)"/>
    <numFmt numFmtId="207" formatCode="0.0"/>
    <numFmt numFmtId="208" formatCode="m/d"/>
    <numFmt numFmtId="209" formatCode="d/mmm/yy"/>
    <numFmt numFmtId="210" formatCode="_(* #,##0.0000000_);_(* \(#,##0.0000000\);_(* &quot;-&quot;???????_);_(@_)"/>
    <numFmt numFmtId="211" formatCode="_(* #,##0.00000000_);_(* \(#,##0.00000000\);_(* &quot;-&quot;????????_);_(@_)"/>
    <numFmt numFmtId="212" formatCode="0_);\(0\)"/>
    <numFmt numFmtId="213" formatCode="_(* #,##0.000_);_(* \(#,##0.000\);_(* &quot;-&quot;??_);_(@_)"/>
    <numFmt numFmtId="214" formatCode="_(* #,##0.00000_);_(* \(#,##0.00000\);_(* &quot;-&quot;?????_);_(@_)"/>
    <numFmt numFmtId="215" formatCode="_(* #,##0.0000_);_(* \(#,##0.0000\);_(* &quot;-&quot;??_);_(@_)"/>
    <numFmt numFmtId="216" formatCode="_(* #,##0.0000_);_(* \(#,##0.0000\);_(* &quot;-&quot;????_);_(@_)"/>
    <numFmt numFmtId="217" formatCode="0.000000000%"/>
    <numFmt numFmtId="218" formatCode="m/d/yyyy"/>
  </numFmts>
  <fonts count="10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5">
    <xf numFmtId="37" fontId="0" fillId="0" borderId="0" xfId="0" applyAlignment="1">
      <alignment/>
    </xf>
    <xf numFmtId="37" fontId="8" fillId="0" borderId="0" xfId="0" applyFont="1" applyAlignment="1">
      <alignment/>
    </xf>
    <xf numFmtId="37" fontId="0" fillId="0" borderId="1" xfId="0" applyFont="1" applyBorder="1" applyAlignment="1">
      <alignment horizontal="centerContinuous"/>
    </xf>
    <xf numFmtId="37" fontId="0" fillId="0" borderId="0" xfId="0" applyAlignment="1">
      <alignment horizontal="center"/>
    </xf>
    <xf numFmtId="37" fontId="0" fillId="0" borderId="0" xfId="0" applyBorder="1" applyAlignment="1" quotePrefix="1">
      <alignment horizontal="center"/>
    </xf>
    <xf numFmtId="37" fontId="0" fillId="0" borderId="1" xfId="0" applyBorder="1" applyAlignment="1">
      <alignment horizontal="center"/>
    </xf>
    <xf numFmtId="37" fontId="0" fillId="0" borderId="0" xfId="0" applyBorder="1" applyAlignment="1">
      <alignment horizontal="center"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171" fontId="0" fillId="0" borderId="0" xfId="15" applyFill="1" applyAlignment="1">
      <alignment/>
    </xf>
    <xf numFmtId="171" fontId="0" fillId="0" borderId="0" xfId="15" applyFont="1" applyFill="1" applyAlignment="1">
      <alignment horizontal="right"/>
    </xf>
    <xf numFmtId="171" fontId="0" fillId="0" borderId="0" xfId="15" applyFont="1" applyFill="1" applyAlignment="1">
      <alignment horizontal="center"/>
    </xf>
    <xf numFmtId="171" fontId="0" fillId="0" borderId="0" xfId="15" applyFont="1" applyAlignment="1">
      <alignment horizontal="left"/>
    </xf>
    <xf numFmtId="37" fontId="0" fillId="0" borderId="0" xfId="0" applyFill="1" applyBorder="1" applyAlignment="1">
      <alignment/>
    </xf>
    <xf numFmtId="37" fontId="0" fillId="0" borderId="0" xfId="0" applyFill="1" applyBorder="1" applyAlignment="1">
      <alignment horizontal="right"/>
    </xf>
    <xf numFmtId="37" fontId="0" fillId="0" borderId="0" xfId="0" applyFill="1" applyAlignment="1">
      <alignment/>
    </xf>
    <xf numFmtId="37" fontId="0" fillId="0" borderId="0" xfId="0" applyBorder="1" applyAlignment="1" quotePrefix="1">
      <alignment horizontal="centerContinuous"/>
    </xf>
    <xf numFmtId="37" fontId="0" fillId="0" borderId="0" xfId="0" applyBorder="1" applyAlignment="1">
      <alignment horizontal="centerContinuous"/>
    </xf>
    <xf numFmtId="169" fontId="0" fillId="0" borderId="0" xfId="0" applyNumberFormat="1" applyAlignment="1">
      <alignment/>
    </xf>
    <xf numFmtId="37" fontId="0" fillId="0" borderId="0" xfId="0" applyAlignment="1" quotePrefix="1">
      <alignment/>
    </xf>
    <xf numFmtId="37" fontId="0" fillId="0" borderId="0" xfId="0" applyFont="1" applyAlignment="1">
      <alignment/>
    </xf>
    <xf numFmtId="169" fontId="0" fillId="0" borderId="3" xfId="0" applyNumberFormat="1" applyBorder="1" applyAlignment="1">
      <alignment/>
    </xf>
    <xf numFmtId="169" fontId="0" fillId="0" borderId="4" xfId="0" applyNumberFormat="1" applyBorder="1" applyAlignment="1">
      <alignment/>
    </xf>
    <xf numFmtId="37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69" fontId="0" fillId="0" borderId="1" xfId="0" applyNumberFormat="1" applyBorder="1" applyAlignment="1">
      <alignment/>
    </xf>
    <xf numFmtId="171" fontId="0" fillId="0" borderId="5" xfId="15" applyBorder="1" applyAlignment="1">
      <alignment/>
    </xf>
    <xf numFmtId="171" fontId="0" fillId="0" borderId="0" xfId="15" applyAlignment="1">
      <alignment/>
    </xf>
    <xf numFmtId="169" fontId="0" fillId="0" borderId="0" xfId="0" applyNumberFormat="1" applyAlignment="1">
      <alignment/>
    </xf>
    <xf numFmtId="49" fontId="0" fillId="0" borderId="0" xfId="0" applyNumberFormat="1" applyAlignment="1" quotePrefix="1">
      <alignment horizontal="center"/>
    </xf>
    <xf numFmtId="37" fontId="0" fillId="0" borderId="0" xfId="0" applyBorder="1" applyAlignment="1">
      <alignment horizontal="right"/>
    </xf>
    <xf numFmtId="37" fontId="0" fillId="0" borderId="1" xfId="0" applyBorder="1" applyAlignment="1">
      <alignment horizontal="right"/>
    </xf>
    <xf numFmtId="203" fontId="0" fillId="0" borderId="0" xfId="15" applyNumberFormat="1" applyBorder="1" applyAlignment="1">
      <alignment horizontal="center"/>
    </xf>
    <xf numFmtId="37" fontId="9" fillId="0" borderId="0" xfId="0" applyFont="1" applyAlignment="1">
      <alignment/>
    </xf>
    <xf numFmtId="203" fontId="0" fillId="0" borderId="0" xfId="15" applyNumberFormat="1" applyAlignment="1">
      <alignment/>
    </xf>
    <xf numFmtId="37" fontId="0" fillId="0" borderId="2" xfId="0" applyFill="1" applyBorder="1" applyAlignment="1">
      <alignment/>
    </xf>
    <xf numFmtId="171" fontId="0" fillId="0" borderId="2" xfId="15" applyFill="1" applyBorder="1" applyAlignment="1">
      <alignment/>
    </xf>
    <xf numFmtId="171" fontId="0" fillId="0" borderId="0" xfId="15" applyAlignment="1">
      <alignment horizontal="right"/>
    </xf>
    <xf numFmtId="171" fontId="0" fillId="0" borderId="0" xfId="15" applyFont="1" applyAlignment="1">
      <alignment horizontal="right"/>
    </xf>
    <xf numFmtId="169" fontId="0" fillId="0" borderId="0" xfId="0" applyNumberFormat="1" applyBorder="1" applyAlignment="1">
      <alignment horizontal="right"/>
    </xf>
    <xf numFmtId="169" fontId="0" fillId="0" borderId="0" xfId="15" applyNumberFormat="1" applyBorder="1" applyAlignment="1">
      <alignment horizontal="right"/>
    </xf>
    <xf numFmtId="169" fontId="0" fillId="0" borderId="2" xfId="0" applyNumberFormat="1" applyBorder="1" applyAlignment="1">
      <alignment/>
    </xf>
    <xf numFmtId="169" fontId="0" fillId="0" borderId="0" xfId="0" applyNumberFormat="1" applyFill="1" applyAlignment="1">
      <alignment/>
    </xf>
    <xf numFmtId="37" fontId="0" fillId="0" borderId="0" xfId="0" applyAlignment="1">
      <alignment horizontal="justify" vertical="justify"/>
    </xf>
    <xf numFmtId="37" fontId="0" fillId="0" borderId="0" xfId="0" applyFont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CONSO\2004\March\sub-Mar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g-bs-a"/>
      <sheetName val="g-bs-b"/>
      <sheetName val="p&amp;l"/>
      <sheetName val="sum p&amp;l"/>
      <sheetName val="g-p&amp;l"/>
      <sheetName val="1st quarter"/>
      <sheetName val="cf"/>
      <sheetName val="w-cf1"/>
      <sheetName val="w-cf"/>
      <sheetName val="g-cf"/>
      <sheetName val="g-aging"/>
      <sheetName val="g-t'over"/>
      <sheetName val="g-sdd"/>
      <sheetName val="c-bs-a"/>
      <sheetName val="c-bs-b"/>
      <sheetName val="c-p&amp;l"/>
      <sheetName val="s.buyback"/>
      <sheetName val="sbu1 bs"/>
      <sheetName val="sbu1 pl"/>
      <sheetName val="sbu1 aging"/>
      <sheetName val="sbu1sdd-01"/>
      <sheetName val="sbu1sdd-02"/>
      <sheetName val="sbu1 sdd-03"/>
      <sheetName val="sbu1 sdd-04"/>
      <sheetName val="sbu1 usdd"/>
      <sheetName val="sbu1 w-off"/>
      <sheetName val="sbu1 t'over"/>
      <sheetName val="sbu2 bs"/>
      <sheetName val="sbu2 pl"/>
      <sheetName val="sbu2 aging"/>
      <sheetName val="sbu2 aging (2)"/>
      <sheetName val="sbu2sd01"/>
      <sheetName val="sbu2sd02"/>
      <sheetName val="sbu2 sdd03"/>
      <sheetName val="sbu2 sdd04"/>
      <sheetName val="sbu2 usdd "/>
      <sheetName val="sbu2 w-off "/>
      <sheetName val="sbu2 t'over"/>
      <sheetName val="sbu3 bs"/>
      <sheetName val="sbu3 pl"/>
      <sheetName val="sbu3 aging"/>
      <sheetName val="sbu3 t'over"/>
      <sheetName val="sbu3sd02"/>
      <sheetName val="sbu3sdd03"/>
      <sheetName val="sbu3sdd04"/>
      <sheetName val="sbu3w-off"/>
      <sheetName val="MYS"/>
      <sheetName val="index"/>
      <sheetName val="masb26"/>
      <sheetName val="segment"/>
      <sheetName val="ac-pl"/>
      <sheetName val="eps"/>
      <sheetName val="sum-acsan"/>
      <sheetName val="sum-smi"/>
      <sheetName val="ana-bs"/>
      <sheetName val="ana-pl"/>
      <sheetName val="segment (2)"/>
    </sheetNames>
    <sheetDataSet>
      <sheetData sheetId="0">
        <row r="49">
          <cell r="F49">
            <v>265211500</v>
          </cell>
        </row>
        <row r="63">
          <cell r="F63">
            <v>152.01097884088114</v>
          </cell>
        </row>
        <row r="78">
          <cell r="H78">
            <v>265152898.90710384</v>
          </cell>
        </row>
      </sheetData>
      <sheetData sheetId="1">
        <row r="9">
          <cell r="W9">
            <v>183468228.68</v>
          </cell>
        </row>
        <row r="10">
          <cell r="W10">
            <v>0</v>
          </cell>
        </row>
        <row r="12">
          <cell r="W12">
            <v>209491393.72682184</v>
          </cell>
        </row>
        <row r="13">
          <cell r="W13">
            <v>227684.90999999997</v>
          </cell>
        </row>
        <row r="14">
          <cell r="W14">
            <v>38131.399999999994</v>
          </cell>
        </row>
        <row r="15">
          <cell r="W15">
            <v>15045.76</v>
          </cell>
        </row>
        <row r="16">
          <cell r="W16">
            <v>0</v>
          </cell>
        </row>
        <row r="19">
          <cell r="W19">
            <v>117934144.38</v>
          </cell>
        </row>
        <row r="20">
          <cell r="W20">
            <v>95652405.4</v>
          </cell>
        </row>
        <row r="21">
          <cell r="W21">
            <v>11903044.049999999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1928433.92</v>
          </cell>
        </row>
        <row r="25">
          <cell r="W25">
            <v>8154000</v>
          </cell>
        </row>
        <row r="26">
          <cell r="W26">
            <v>4263783.769999998</v>
          </cell>
        </row>
        <row r="31">
          <cell r="W31">
            <v>8754471.169999998</v>
          </cell>
        </row>
        <row r="32">
          <cell r="W32">
            <v>11718911.9</v>
          </cell>
        </row>
        <row r="33">
          <cell r="W33">
            <v>0</v>
          </cell>
        </row>
        <row r="34">
          <cell r="W34">
            <v>1247995.7800000003</v>
          </cell>
        </row>
        <row r="35">
          <cell r="W35">
            <v>0</v>
          </cell>
        </row>
        <row r="37">
          <cell r="W37">
            <v>3500000</v>
          </cell>
        </row>
        <row r="38">
          <cell r="W38">
            <v>12500000</v>
          </cell>
        </row>
        <row r="39">
          <cell r="W39">
            <v>79122431.03</v>
          </cell>
        </row>
        <row r="40">
          <cell r="W40">
            <v>5672808.950000001</v>
          </cell>
        </row>
        <row r="41">
          <cell r="W41">
            <v>8278338.17</v>
          </cell>
        </row>
        <row r="42">
          <cell r="W42">
            <v>548217.25</v>
          </cell>
        </row>
        <row r="51">
          <cell r="W51">
            <v>265211500</v>
          </cell>
        </row>
        <row r="52">
          <cell r="W52">
            <v>34426019.35</v>
          </cell>
        </row>
        <row r="53">
          <cell r="W53">
            <v>123033863.28291182</v>
          </cell>
        </row>
        <row r="54">
          <cell r="W54">
            <v>54792411.11</v>
          </cell>
        </row>
        <row r="55">
          <cell r="W55">
            <v>2500000</v>
          </cell>
        </row>
        <row r="56">
          <cell r="W56">
            <v>-42973622.11</v>
          </cell>
        </row>
        <row r="57">
          <cell r="W57">
            <v>5656522.152246</v>
          </cell>
        </row>
        <row r="58">
          <cell r="W58">
            <v>0</v>
          </cell>
        </row>
        <row r="59">
          <cell r="W59">
            <v>-107883.39</v>
          </cell>
        </row>
        <row r="60">
          <cell r="W60">
            <v>442538810.3951579</v>
          </cell>
        </row>
        <row r="61">
          <cell r="W61">
            <v>23952134.611664005</v>
          </cell>
        </row>
        <row r="62">
          <cell r="W62">
            <v>0</v>
          </cell>
        </row>
        <row r="63">
          <cell r="W63">
            <v>9375000</v>
          </cell>
        </row>
        <row r="64">
          <cell r="W64">
            <v>1754436.23</v>
          </cell>
        </row>
        <row r="65">
          <cell r="W65">
            <v>24112740.15</v>
          </cell>
        </row>
      </sheetData>
      <sheetData sheetId="5">
        <row r="181">
          <cell r="Z181">
            <v>124774995.40999997</v>
          </cell>
        </row>
        <row r="183">
          <cell r="Z183">
            <v>95593547.56000002</v>
          </cell>
        </row>
        <row r="188">
          <cell r="Z188">
            <v>843196.5299999999</v>
          </cell>
        </row>
        <row r="195">
          <cell r="Z195">
            <v>91964.81</v>
          </cell>
        </row>
        <row r="196">
          <cell r="Z196">
            <v>5536788.04</v>
          </cell>
        </row>
        <row r="200">
          <cell r="Z200">
            <v>336140.66</v>
          </cell>
        </row>
        <row r="202">
          <cell r="Z202">
            <v>1682751.4700000002</v>
          </cell>
        </row>
        <row r="206">
          <cell r="Z206">
            <v>3439086.412710586</v>
          </cell>
        </row>
        <row r="210">
          <cell r="Z210">
            <v>8923846.229999999</v>
          </cell>
        </row>
        <row r="214">
          <cell r="Z214">
            <v>1505692.7506080002</v>
          </cell>
        </row>
        <row r="527">
          <cell r="Z527">
            <v>124774995.40999997</v>
          </cell>
        </row>
        <row r="529">
          <cell r="Z529">
            <v>95593547.56000002</v>
          </cell>
        </row>
        <row r="534">
          <cell r="Z534">
            <v>843196.5299999999</v>
          </cell>
        </row>
        <row r="541">
          <cell r="Z541">
            <v>91964.81</v>
          </cell>
        </row>
        <row r="542">
          <cell r="Z542">
            <v>5536788.04</v>
          </cell>
        </row>
        <row r="546">
          <cell r="Z546">
            <v>336140.66</v>
          </cell>
        </row>
        <row r="548">
          <cell r="Z548">
            <v>1682751.4700000002</v>
          </cell>
        </row>
        <row r="552">
          <cell r="Z552">
            <v>3439086.412710586</v>
          </cell>
        </row>
        <row r="556">
          <cell r="Z556">
            <v>8923846.229999999</v>
          </cell>
        </row>
        <row r="560">
          <cell r="Z560">
            <v>1505692.7506080002</v>
          </cell>
        </row>
      </sheetData>
      <sheetData sheetId="7">
        <row r="7">
          <cell r="L7">
            <v>29102638</v>
          </cell>
        </row>
        <row r="9">
          <cell r="J9">
            <v>2006028</v>
          </cell>
        </row>
        <row r="10">
          <cell r="J10">
            <v>418</v>
          </cell>
        </row>
        <row r="11">
          <cell r="J11">
            <v>-101708</v>
          </cell>
        </row>
        <row r="12">
          <cell r="J12">
            <v>463</v>
          </cell>
        </row>
        <row r="13">
          <cell r="J13">
            <v>0</v>
          </cell>
        </row>
        <row r="14">
          <cell r="J14">
            <v>-3439086</v>
          </cell>
        </row>
        <row r="15">
          <cell r="J15">
            <v>1881</v>
          </cell>
        </row>
        <row r="16">
          <cell r="J16">
            <v>0</v>
          </cell>
        </row>
        <row r="17">
          <cell r="J17">
            <v>0</v>
          </cell>
        </row>
        <row r="19">
          <cell r="J19">
            <v>-710023.7299999999</v>
          </cell>
        </row>
        <row r="22">
          <cell r="J22">
            <v>0</v>
          </cell>
        </row>
        <row r="23">
          <cell r="J23">
            <v>-1255003</v>
          </cell>
        </row>
        <row r="26">
          <cell r="J26">
            <v>386533.75</v>
          </cell>
        </row>
        <row r="27">
          <cell r="J27">
            <v>0</v>
          </cell>
        </row>
        <row r="31">
          <cell r="L31">
            <v>-11437241</v>
          </cell>
        </row>
        <row r="32">
          <cell r="L32">
            <v>-14508126</v>
          </cell>
        </row>
        <row r="36">
          <cell r="L36">
            <v>-808617</v>
          </cell>
        </row>
        <row r="40">
          <cell r="L40">
            <v>24427</v>
          </cell>
        </row>
        <row r="42">
          <cell r="L42">
            <v>-3907953</v>
          </cell>
        </row>
        <row r="43">
          <cell r="C43" t="str">
            <v>Retirement benefits paid</v>
          </cell>
          <cell r="L43">
            <v>-0.31999999983236194</v>
          </cell>
        </row>
        <row r="49">
          <cell r="L49">
            <v>270523</v>
          </cell>
        </row>
        <row r="50">
          <cell r="L50">
            <v>-1505252</v>
          </cell>
        </row>
        <row r="51">
          <cell r="L51">
            <v>-8980251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-696600</v>
          </cell>
        </row>
        <row r="60">
          <cell r="L60">
            <v>0</v>
          </cell>
        </row>
        <row r="61">
          <cell r="L61">
            <v>15433582</v>
          </cell>
        </row>
        <row r="62">
          <cell r="L62">
            <v>-93816.16</v>
          </cell>
        </row>
        <row r="65">
          <cell r="L65">
            <v>0</v>
          </cell>
        </row>
        <row r="69">
          <cell r="L69">
            <v>6962162.039999999</v>
          </cell>
        </row>
        <row r="71">
          <cell r="L71">
            <v>6744977.139999999</v>
          </cell>
        </row>
      </sheetData>
      <sheetData sheetId="9">
        <row r="48">
          <cell r="J48">
            <v>0</v>
          </cell>
        </row>
        <row r="49">
          <cell r="J49">
            <v>0</v>
          </cell>
        </row>
        <row r="50">
          <cell r="J50">
            <v>18709629.274802595</v>
          </cell>
        </row>
        <row r="51">
          <cell r="J51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-93816.16</v>
          </cell>
        </row>
      </sheetData>
      <sheetData sheetId="51">
        <row r="50">
          <cell r="F50">
            <v>18673099.372102533</v>
          </cell>
          <cell r="N50">
            <v>18673099.372102533</v>
          </cell>
        </row>
      </sheetData>
      <sheetData sheetId="52">
        <row r="80">
          <cell r="K80">
            <v>6.529293819667871</v>
          </cell>
          <cell r="O80">
            <v>6.528965099770911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tabSelected="1" view="pageBreakPreview" zoomScaleSheetLayoutView="100" workbookViewId="0" topLeftCell="A1">
      <selection activeCell="A16" sqref="A16"/>
    </sheetView>
  </sheetViews>
  <sheetFormatPr defaultColWidth="9.33203125" defaultRowHeight="12.75"/>
  <cols>
    <col min="1" max="2" width="5.83203125" style="0" customWidth="1"/>
    <col min="5" max="5" width="10.83203125" style="0" customWidth="1"/>
    <col min="6" max="6" width="2.66015625" style="0" customWidth="1"/>
    <col min="7" max="7" width="11.83203125" style="0" customWidth="1"/>
    <col min="8" max="8" width="2.66015625" style="0" customWidth="1"/>
    <col min="9" max="9" width="14.66015625" style="0" customWidth="1"/>
    <col min="10" max="10" width="2.5" style="0" customWidth="1"/>
    <col min="11" max="11" width="14.66015625" style="0" customWidth="1"/>
    <col min="12" max="12" width="2.66015625" style="0" customWidth="1"/>
    <col min="13" max="13" width="14.66015625" style="0" customWidth="1"/>
    <col min="14" max="14" width="4.16015625" style="0" customWidth="1"/>
    <col min="15" max="15" width="7.66015625" style="0" bestFit="1" customWidth="1"/>
  </cols>
  <sheetData>
    <row r="1" ht="12.75">
      <c r="A1" s="1" t="s">
        <v>103</v>
      </c>
    </row>
    <row r="3" ht="12.75">
      <c r="A3" s="1" t="s">
        <v>0</v>
      </c>
    </row>
    <row r="4" ht="12.75">
      <c r="A4" s="1" t="s">
        <v>1</v>
      </c>
    </row>
    <row r="5" ht="12.75">
      <c r="A5" s="1"/>
    </row>
    <row r="7" ht="12.75">
      <c r="A7" s="1" t="s">
        <v>2</v>
      </c>
    </row>
    <row r="8" ht="12.75">
      <c r="A8" s="1" t="s">
        <v>3</v>
      </c>
    </row>
    <row r="10" spans="7:13" ht="12.75">
      <c r="G10" s="2" t="s">
        <v>4</v>
      </c>
      <c r="H10" s="2"/>
      <c r="I10" s="2"/>
      <c r="K10" s="2" t="s">
        <v>5</v>
      </c>
      <c r="L10" s="2"/>
      <c r="M10" s="2"/>
    </row>
    <row r="11" spans="7:13" ht="12.75">
      <c r="G11" s="3" t="s">
        <v>6</v>
      </c>
      <c r="H11" s="3"/>
      <c r="I11" s="3" t="s">
        <v>7</v>
      </c>
      <c r="K11" s="3" t="s">
        <v>6</v>
      </c>
      <c r="L11" s="3"/>
      <c r="M11" s="3" t="s">
        <v>7</v>
      </c>
    </row>
    <row r="12" spans="7:13" ht="12.75">
      <c r="G12" s="3" t="s">
        <v>8</v>
      </c>
      <c r="H12" s="3"/>
      <c r="I12" s="3" t="s">
        <v>9</v>
      </c>
      <c r="K12" s="3" t="s">
        <v>8</v>
      </c>
      <c r="L12" s="3"/>
      <c r="M12" s="3" t="s">
        <v>9</v>
      </c>
    </row>
    <row r="13" spans="7:13" ht="12.75">
      <c r="G13" s="3" t="s">
        <v>10</v>
      </c>
      <c r="H13" s="3"/>
      <c r="I13" s="3" t="s">
        <v>10</v>
      </c>
      <c r="K13" s="3" t="s">
        <v>10</v>
      </c>
      <c r="L13" s="3"/>
      <c r="M13" s="3" t="s">
        <v>10</v>
      </c>
    </row>
    <row r="14" spans="7:13" ht="12.75">
      <c r="G14" s="4" t="s">
        <v>11</v>
      </c>
      <c r="H14" s="3"/>
      <c r="I14" s="4" t="s">
        <v>12</v>
      </c>
      <c r="K14" s="4" t="str">
        <f>+G14</f>
        <v>31.03.04</v>
      </c>
      <c r="L14" s="3"/>
      <c r="M14" s="4" t="str">
        <f>+I14</f>
        <v>31.03.03</v>
      </c>
    </row>
    <row r="15" spans="7:13" ht="12.75">
      <c r="G15" s="5" t="s">
        <v>13</v>
      </c>
      <c r="H15" s="3"/>
      <c r="I15" s="5" t="s">
        <v>13</v>
      </c>
      <c r="K15" s="5" t="s">
        <v>13</v>
      </c>
      <c r="L15" s="3"/>
      <c r="M15" s="5" t="s">
        <v>13</v>
      </c>
    </row>
    <row r="16" spans="7:13" ht="12.75">
      <c r="G16" s="6"/>
      <c r="H16" s="3"/>
      <c r="I16" s="6"/>
      <c r="K16" s="6"/>
      <c r="L16" s="3"/>
      <c r="M16" s="6"/>
    </row>
    <row r="17" spans="1:13" ht="12.75">
      <c r="A17" t="s">
        <v>14</v>
      </c>
      <c r="G17">
        <f>ROUND('[1]g-p&amp;l'!Z527/1000,0)</f>
        <v>124775</v>
      </c>
      <c r="I17">
        <v>103100</v>
      </c>
      <c r="K17">
        <f>ROUND('[1]g-p&amp;l'!Z181/1000,0)</f>
        <v>124775</v>
      </c>
      <c r="M17">
        <v>103100</v>
      </c>
    </row>
    <row r="19" spans="1:13" ht="12.75">
      <c r="A19" t="s">
        <v>15</v>
      </c>
      <c r="G19" s="18">
        <f>-ROUND(('[1]g-p&amp;l'!Z529+'[1]g-p&amp;l'!Z542)/1000,0)-G25</f>
        <v>-100194.83866</v>
      </c>
      <c r="H19" s="18"/>
      <c r="I19" s="18">
        <v>-96234</v>
      </c>
      <c r="J19" s="18"/>
      <c r="K19" s="18">
        <f>-ROUND(('[1]g-p&amp;l'!Z183+'[1]g-p&amp;l'!Z196)/1000,0)-K25</f>
        <v>-100195</v>
      </c>
      <c r="L19" s="18"/>
      <c r="M19" s="18">
        <v>-96234</v>
      </c>
    </row>
    <row r="21" spans="1:13" ht="12.75">
      <c r="A21" t="s">
        <v>16</v>
      </c>
      <c r="G21">
        <f>ROUND((+'[1]g-p&amp;l'!Z546+'[1]g-p&amp;l'!Z548)/1000,0)</f>
        <v>2019</v>
      </c>
      <c r="I21">
        <v>853</v>
      </c>
      <c r="K21">
        <f>ROUND(('[1]g-p&amp;l'!Z200+'[1]g-p&amp;l'!Z202)/1000,0)</f>
        <v>2019</v>
      </c>
      <c r="M21">
        <v>853</v>
      </c>
    </row>
    <row r="22" spans="7:13" ht="12.75">
      <c r="G22" s="7"/>
      <c r="I22" s="7"/>
      <c r="K22" s="7"/>
      <c r="M22" s="7"/>
    </row>
    <row r="23" spans="1:13" ht="12.75">
      <c r="A23" t="s">
        <v>17</v>
      </c>
      <c r="G23">
        <f>SUM(G16:G22)</f>
        <v>26599.161340000006</v>
      </c>
      <c r="I23">
        <f>SUM(I16:I22)</f>
        <v>7719</v>
      </c>
      <c r="K23">
        <f>SUM(K16:K22)</f>
        <v>26599</v>
      </c>
      <c r="M23">
        <f>SUM(M16:M22)</f>
        <v>7719</v>
      </c>
    </row>
    <row r="25" spans="1:13" ht="12.75">
      <c r="A25" t="s">
        <v>18</v>
      </c>
      <c r="G25" s="18">
        <f>-('[1]g-p&amp;l'!Z534+'[1]g-p&amp;l'!Z541)/1000</f>
        <v>-935.1613399999999</v>
      </c>
      <c r="H25" s="18"/>
      <c r="I25" s="18">
        <v>-1259</v>
      </c>
      <c r="J25" s="18"/>
      <c r="K25" s="18">
        <f>-ROUND((+'[1]g-p&amp;l'!Z188+'[1]g-p&amp;l'!Z195)/1000,0)</f>
        <v>-935</v>
      </c>
      <c r="L25" s="18"/>
      <c r="M25" s="18">
        <v>-1259</v>
      </c>
    </row>
    <row r="27" spans="1:13" ht="12.75">
      <c r="A27" t="s">
        <v>19</v>
      </c>
      <c r="G27">
        <f>ROUND('[1]g-p&amp;l'!Z552/1000,0)</f>
        <v>3439</v>
      </c>
      <c r="I27">
        <v>2003</v>
      </c>
      <c r="K27">
        <f>ROUND('[1]g-p&amp;l'!Z206/1000,0)</f>
        <v>3439</v>
      </c>
      <c r="M27">
        <v>2003</v>
      </c>
    </row>
    <row r="28" spans="7:13" ht="12.75">
      <c r="G28" s="7"/>
      <c r="I28" s="7"/>
      <c r="K28" s="7"/>
      <c r="M28" s="7"/>
    </row>
    <row r="29" spans="1:13" ht="12.75">
      <c r="A29" t="s">
        <v>20</v>
      </c>
      <c r="G29">
        <f>SUM(G23:G28)</f>
        <v>29103.000000000007</v>
      </c>
      <c r="I29">
        <f>SUM(I23:I28)</f>
        <v>8463</v>
      </c>
      <c r="K29">
        <f>SUM(K23:K28)</f>
        <v>29103</v>
      </c>
      <c r="M29">
        <f>SUM(M23:M28)</f>
        <v>8463</v>
      </c>
    </row>
    <row r="31" spans="1:13" ht="12.75">
      <c r="A31" t="s">
        <v>21</v>
      </c>
      <c r="G31" s="18">
        <f>-ROUND('[1]g-p&amp;l'!Z556/1000,0)</f>
        <v>-8924</v>
      </c>
      <c r="H31" s="18"/>
      <c r="I31" s="18">
        <v>-2811</v>
      </c>
      <c r="J31" s="18"/>
      <c r="K31" s="18">
        <f>-ROUND('[1]g-p&amp;l'!Z210/1000,0)</f>
        <v>-8924</v>
      </c>
      <c r="L31" s="18"/>
      <c r="M31" s="18">
        <v>-2811</v>
      </c>
    </row>
    <row r="32" spans="7:13" ht="12.75">
      <c r="G32" s="7"/>
      <c r="I32" s="7"/>
      <c r="K32" s="7"/>
      <c r="M32" s="7"/>
    </row>
    <row r="33" spans="1:13" ht="12.75">
      <c r="A33" t="s">
        <v>22</v>
      </c>
      <c r="G33">
        <f>SUM(G29:G32)</f>
        <v>20179.000000000007</v>
      </c>
      <c r="I33">
        <f>SUM(I29:I32)</f>
        <v>5652</v>
      </c>
      <c r="K33">
        <f>SUM(K29:K32)</f>
        <v>20179</v>
      </c>
      <c r="M33">
        <f>SUM(M29:M32)</f>
        <v>5652</v>
      </c>
    </row>
    <row r="35" spans="1:13" ht="12.75">
      <c r="A35" t="s">
        <v>23</v>
      </c>
      <c r="G35" s="18">
        <f>-ROUND('[1]g-p&amp;l'!Z560/1000,0)</f>
        <v>-1506</v>
      </c>
      <c r="H35" s="18"/>
      <c r="I35" s="18">
        <v>-475</v>
      </c>
      <c r="J35" s="18"/>
      <c r="K35" s="18">
        <f>-ROUND('[1]g-p&amp;l'!Z214/1000,0)</f>
        <v>-1506</v>
      </c>
      <c r="L35" s="18"/>
      <c r="M35" s="18">
        <v>-475</v>
      </c>
    </row>
    <row r="37" spans="1:15" ht="13.5" thickBot="1">
      <c r="A37" t="s">
        <v>24</v>
      </c>
      <c r="G37" s="8">
        <f>SUM(G33:G36)</f>
        <v>18673.000000000007</v>
      </c>
      <c r="I37" s="8">
        <f>SUM(I33:I36)</f>
        <v>5177</v>
      </c>
      <c r="K37" s="8">
        <f>SUM(K33:K36)</f>
        <v>18673</v>
      </c>
      <c r="M37" s="8">
        <f>SUM(M33:M36)</f>
        <v>5177</v>
      </c>
      <c r="O37">
        <f>+G37-'[1]ac-pl'!F50/1000</f>
        <v>-0.09937210252610384</v>
      </c>
    </row>
    <row r="38" ht="12.75">
      <c r="O38">
        <f>+K37-'[1]ac-pl'!N50/1000</f>
        <v>-0.0993721025333798</v>
      </c>
    </row>
    <row r="40" spans="1:13" ht="12.75">
      <c r="A40" t="s">
        <v>25</v>
      </c>
      <c r="G40" s="3"/>
      <c r="I40" s="3"/>
      <c r="K40" s="3"/>
      <c r="M40" s="3"/>
    </row>
    <row r="41" spans="2:13" ht="12.75">
      <c r="B41" t="s">
        <v>26</v>
      </c>
      <c r="G41" s="9">
        <f>+G37/('[1]bs'!F49/1000)*100</f>
        <v>7.040795742266082</v>
      </c>
      <c r="H41" s="9"/>
      <c r="I41" s="9">
        <v>2.05</v>
      </c>
      <c r="J41" s="9"/>
      <c r="K41" s="9">
        <f>+K37/('[1]bs'!H78/1000)*100</f>
        <v>7.042351819258094</v>
      </c>
      <c r="L41" s="9"/>
      <c r="M41" s="9">
        <v>2.05</v>
      </c>
    </row>
    <row r="42" spans="2:14" ht="12.75">
      <c r="B42" t="s">
        <v>27</v>
      </c>
      <c r="G42" s="9">
        <f>'[1]eps'!K80</f>
        <v>6.529293819667871</v>
      </c>
      <c r="H42" s="9"/>
      <c r="I42" s="10" t="s">
        <v>28</v>
      </c>
      <c r="J42" s="11"/>
      <c r="K42" s="9">
        <f>+'[1]eps'!O80</f>
        <v>6.528965099770911</v>
      </c>
      <c r="L42" s="9"/>
      <c r="M42" s="10" t="s">
        <v>28</v>
      </c>
      <c r="N42" s="12"/>
    </row>
    <row r="44" spans="1:15" ht="12.75">
      <c r="A44" s="13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5"/>
    </row>
    <row r="45" spans="1:15" ht="12.75">
      <c r="A45" s="13"/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5"/>
    </row>
    <row r="47" spans="1:13" ht="12.75">
      <c r="A47" s="43" t="s">
        <v>29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51" ht="12.75">
      <c r="A51" s="1" t="s">
        <v>103</v>
      </c>
    </row>
    <row r="53" ht="12.75">
      <c r="A53" s="1" t="s">
        <v>30</v>
      </c>
    </row>
    <row r="54" ht="12.75">
      <c r="A54" s="1" t="s">
        <v>31</v>
      </c>
    </row>
    <row r="56" spans="9:11" ht="12.75">
      <c r="I56" s="16"/>
      <c r="J56" s="17"/>
      <c r="K56" s="17"/>
    </row>
    <row r="57" spans="7:9" ht="12.75">
      <c r="G57" s="6" t="s">
        <v>32</v>
      </c>
      <c r="H57" s="6"/>
      <c r="I57" s="6" t="s">
        <v>32</v>
      </c>
    </row>
    <row r="58" spans="7:9" ht="12.75">
      <c r="G58" s="4" t="s">
        <v>33</v>
      </c>
      <c r="H58" s="6"/>
      <c r="I58" s="4" t="s">
        <v>34</v>
      </c>
    </row>
    <row r="59" spans="7:9" ht="12.75">
      <c r="G59" s="5" t="s">
        <v>13</v>
      </c>
      <c r="H59" s="3"/>
      <c r="I59" s="5" t="s">
        <v>13</v>
      </c>
    </row>
    <row r="60" spans="7:9" ht="12.75">
      <c r="G60" s="6"/>
      <c r="H60" s="3"/>
      <c r="I60" s="6"/>
    </row>
    <row r="61" spans="1:9" ht="12.75">
      <c r="A61" t="s">
        <v>35</v>
      </c>
      <c r="G61" s="18">
        <f>ROUND((+'[1]g-bs-a'!W9+'[1]g-bs-a'!W10)/1000,0)</f>
        <v>183468</v>
      </c>
      <c r="I61" s="18">
        <v>184138</v>
      </c>
    </row>
    <row r="62" spans="1:9" ht="12.75">
      <c r="A62" t="s">
        <v>36</v>
      </c>
      <c r="G62" s="18">
        <f>ROUND(+'[1]g-bs-a'!W12/1000,0)</f>
        <v>209491</v>
      </c>
      <c r="I62" s="18">
        <v>198610</v>
      </c>
    </row>
    <row r="63" spans="1:9" ht="12.75">
      <c r="A63" t="s">
        <v>37</v>
      </c>
      <c r="G63" s="18">
        <f>ROUND((+'[1]g-bs-a'!W13+'[1]g-bs-a'!W16)/1000,0)+1</f>
        <v>229</v>
      </c>
      <c r="I63" s="18">
        <v>229</v>
      </c>
    </row>
    <row r="64" spans="1:9" ht="12.75">
      <c r="A64" t="s">
        <v>38</v>
      </c>
      <c r="G64" s="18">
        <f>ROUND((+'[1]g-bs-a'!W14+'[1]g-bs-a'!W15)/1000,0)</f>
        <v>53</v>
      </c>
      <c r="I64" s="18">
        <v>55</v>
      </c>
    </row>
    <row r="65" spans="7:9" ht="12.75">
      <c r="G65" s="18"/>
      <c r="I65" s="18"/>
    </row>
    <row r="66" spans="1:9" ht="12.75">
      <c r="A66" t="s">
        <v>39</v>
      </c>
      <c r="G66" s="18"/>
      <c r="I66" s="18"/>
    </row>
    <row r="67" spans="1:9" ht="12.75">
      <c r="A67" s="19"/>
      <c r="B67" t="s">
        <v>40</v>
      </c>
      <c r="G67" s="18">
        <f>ROUND(+'[1]g-bs-a'!W19/1000,0)</f>
        <v>117934</v>
      </c>
      <c r="I67" s="18">
        <v>106497</v>
      </c>
    </row>
    <row r="68" spans="1:9" ht="12.75">
      <c r="A68" s="19"/>
      <c r="B68" t="s">
        <v>41</v>
      </c>
      <c r="G68" s="18">
        <f>ROUND(SUM('[1]g-bs-a'!W20:W23)/1000,0)-1</f>
        <v>107554</v>
      </c>
      <c r="I68" s="18">
        <f>93338-2209</f>
        <v>91129</v>
      </c>
    </row>
    <row r="69" spans="1:9" ht="12.75">
      <c r="A69" s="19"/>
      <c r="B69" t="s">
        <v>42</v>
      </c>
      <c r="G69" s="18">
        <f>ROUND('[1]g-bs-a'!W24/1000,0)</f>
        <v>1928</v>
      </c>
      <c r="I69" s="18">
        <v>2209</v>
      </c>
    </row>
    <row r="70" spans="1:9" ht="12.75">
      <c r="A70" s="19"/>
      <c r="B70" t="s">
        <v>43</v>
      </c>
      <c r="G70" s="18">
        <f>+ROUND((+'[1]g-bs-a'!W25+'[1]g-bs-a'!W26)/1000,0)</f>
        <v>12418</v>
      </c>
      <c r="I70" s="18">
        <v>8579</v>
      </c>
    </row>
    <row r="71" spans="2:9" ht="12.75">
      <c r="B71" s="20"/>
      <c r="G71" s="21">
        <f>SUM(G67:G70)</f>
        <v>239834</v>
      </c>
      <c r="I71" s="21">
        <f>SUM(I67:I70)</f>
        <v>208414</v>
      </c>
    </row>
    <row r="72" spans="7:9" ht="12.75">
      <c r="G72" s="18"/>
      <c r="I72" s="18"/>
    </row>
    <row r="73" spans="1:9" ht="12.75">
      <c r="A73" t="s">
        <v>44</v>
      </c>
      <c r="G73" s="18"/>
      <c r="I73" s="18"/>
    </row>
    <row r="74" spans="1:9" ht="12.75">
      <c r="A74" s="19"/>
      <c r="B74" t="s">
        <v>45</v>
      </c>
      <c r="G74" s="18">
        <f>ROUND((SUM('[1]g-bs-a'!W31:W35)+'[1]g-bs-a'!W42)/1000,0)</f>
        <v>22270</v>
      </c>
      <c r="I74" s="18">
        <v>22765</v>
      </c>
    </row>
    <row r="75" spans="1:9" ht="12.75">
      <c r="A75" s="19"/>
      <c r="B75" t="s">
        <v>46</v>
      </c>
      <c r="G75" s="18">
        <f>ROUND(SUM('[1]g-bs-a'!W37:W40)/1000,0)</f>
        <v>100795</v>
      </c>
      <c r="I75" s="18">
        <v>78182</v>
      </c>
    </row>
    <row r="76" spans="1:9" ht="12.75">
      <c r="A76" s="19"/>
      <c r="B76" t="s">
        <v>21</v>
      </c>
      <c r="G76" s="18">
        <f>ROUND(+'[1]g-bs-a'!W41/1000,0)</f>
        <v>8278</v>
      </c>
      <c r="I76" s="18">
        <v>5118</v>
      </c>
    </row>
    <row r="77" spans="7:9" ht="12.75">
      <c r="G77" s="21">
        <f>SUM(G74:G76)</f>
        <v>131343</v>
      </c>
      <c r="I77" s="21">
        <f>SUM(I74:I76)</f>
        <v>106065</v>
      </c>
    </row>
    <row r="78" spans="7:9" ht="12.75">
      <c r="G78" s="18"/>
      <c r="I78" s="18"/>
    </row>
    <row r="79" spans="1:9" ht="12.75">
      <c r="A79" t="s">
        <v>47</v>
      </c>
      <c r="G79" s="18">
        <f>+G71-G77</f>
        <v>108491</v>
      </c>
      <c r="I79" s="18">
        <f>+I71-I77</f>
        <v>102349</v>
      </c>
    </row>
    <row r="80" spans="7:9" ht="12.75">
      <c r="G80" s="18"/>
      <c r="I80" s="18"/>
    </row>
    <row r="81" spans="7:9" ht="13.5" thickBot="1">
      <c r="G81" s="22">
        <f>SUM(G61:G64)+G79</f>
        <v>501732</v>
      </c>
      <c r="I81" s="22">
        <f>SUM(I61:I64)+I79</f>
        <v>485381</v>
      </c>
    </row>
    <row r="82" spans="7:15" ht="13.5" thickTop="1">
      <c r="G82" s="18"/>
      <c r="I82" s="18"/>
      <c r="O82" s="23"/>
    </row>
    <row r="83" spans="7:9" ht="12.75">
      <c r="G83" s="18"/>
      <c r="I83" s="18"/>
    </row>
    <row r="84" spans="1:9" ht="12.75">
      <c r="A84" t="s">
        <v>48</v>
      </c>
      <c r="G84" s="18">
        <f>ROUND(+'[1]g-bs-a'!W51/1000,0)</f>
        <v>265212</v>
      </c>
      <c r="I84" s="18">
        <v>265212</v>
      </c>
    </row>
    <row r="85" spans="1:9" ht="12" customHeight="1">
      <c r="A85" t="s">
        <v>49</v>
      </c>
      <c r="G85" s="24">
        <f>ROUND(SUM('[1]g-bs-a'!W52:W58)/1000,0)-1</f>
        <v>177434</v>
      </c>
      <c r="I85" s="24">
        <v>158725</v>
      </c>
    </row>
    <row r="86" spans="1:9" ht="12" customHeight="1">
      <c r="A86" t="s">
        <v>50</v>
      </c>
      <c r="G86" s="25">
        <f>ROUND(+'[1]g-bs-a'!W59/1000,0)</f>
        <v>-108</v>
      </c>
      <c r="I86" s="25">
        <v>-14</v>
      </c>
    </row>
    <row r="87" spans="1:9" ht="12.75">
      <c r="A87" t="s">
        <v>51</v>
      </c>
      <c r="G87" s="18">
        <f>SUM(G84:G86)</f>
        <v>442538</v>
      </c>
      <c r="I87" s="18">
        <f>SUM(I84:I86)</f>
        <v>423923</v>
      </c>
    </row>
    <row r="88" spans="1:9" ht="12.75">
      <c r="A88" t="s">
        <v>52</v>
      </c>
      <c r="G88" s="18">
        <f>ROUND(+'[1]g-bs-a'!W61/1000,0)</f>
        <v>23952</v>
      </c>
      <c r="I88" s="18">
        <v>23143</v>
      </c>
    </row>
    <row r="89" spans="1:9" ht="12.75">
      <c r="A89" t="s">
        <v>53</v>
      </c>
      <c r="G89" s="18"/>
      <c r="I89" s="18"/>
    </row>
    <row r="90" spans="2:9" ht="12.75">
      <c r="B90" t="s">
        <v>54</v>
      </c>
      <c r="G90" s="18">
        <f>ROUND(+'[1]g-bs-a'!W63/1000,0)</f>
        <v>9375</v>
      </c>
      <c r="I90" s="18">
        <v>12500</v>
      </c>
    </row>
    <row r="91" spans="2:9" ht="12.75">
      <c r="B91" t="s">
        <v>55</v>
      </c>
      <c r="G91" s="18">
        <f>ROUND((+'[1]g-bs-a'!W62+'[1]g-bs-a'!W65+'[1]g-bs-a'!W64)/1000,0)</f>
        <v>25867</v>
      </c>
      <c r="I91" s="18">
        <v>25815</v>
      </c>
    </row>
    <row r="92" spans="7:9" ht="12.75">
      <c r="G92" s="18"/>
      <c r="I92" s="18"/>
    </row>
    <row r="93" spans="7:9" ht="13.5" thickBot="1">
      <c r="G93" s="22">
        <f>SUM(G87:G92)</f>
        <v>501732</v>
      </c>
      <c r="I93" s="22">
        <f>SUM(I87:I92)</f>
        <v>485381</v>
      </c>
    </row>
    <row r="94" spans="7:9" ht="13.5" thickTop="1">
      <c r="G94" s="24"/>
      <c r="I94" s="24"/>
    </row>
    <row r="95" spans="1:11" ht="13.5" thickBot="1">
      <c r="A95" t="s">
        <v>56</v>
      </c>
      <c r="G95" s="26">
        <f>+'[1]bs'!F63/100</f>
        <v>1.5201097884088113</v>
      </c>
      <c r="H95" s="27"/>
      <c r="I95" s="26">
        <v>1.44</v>
      </c>
      <c r="K95" s="28"/>
    </row>
    <row r="96" spans="9:11" ht="13.5" thickTop="1">
      <c r="I96" s="28"/>
      <c r="K96" s="28"/>
    </row>
    <row r="97" spans="9:11" ht="12.75">
      <c r="I97" s="28"/>
      <c r="K97" s="28"/>
    </row>
    <row r="98" spans="1:13" ht="12.75">
      <c r="A98" s="43" t="s">
        <v>57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1:13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2" ht="12.75">
      <c r="A102" s="1" t="s">
        <v>103</v>
      </c>
    </row>
    <row r="104" ht="12.75">
      <c r="A104" s="1" t="s">
        <v>58</v>
      </c>
    </row>
    <row r="105" ht="12.75">
      <c r="A105" s="1" t="str">
        <f>+A8</f>
        <v>For the quarter ended 31 March 2004</v>
      </c>
    </row>
    <row r="107" spans="9:11" ht="12.75">
      <c r="I107" s="29"/>
      <c r="K107" s="4"/>
    </row>
    <row r="108" spans="9:11" ht="12.75">
      <c r="I108" s="3" t="s">
        <v>59</v>
      </c>
      <c r="J108" s="17"/>
      <c r="K108" s="6" t="s">
        <v>7</v>
      </c>
    </row>
    <row r="109" spans="9:11" ht="12.75">
      <c r="I109" s="3" t="s">
        <v>60</v>
      </c>
      <c r="J109" s="6"/>
      <c r="K109" s="6" t="s">
        <v>60</v>
      </c>
    </row>
    <row r="110" spans="9:11" ht="12.75">
      <c r="I110" s="4" t="s">
        <v>33</v>
      </c>
      <c r="J110" s="3"/>
      <c r="K110" s="6" t="s">
        <v>61</v>
      </c>
    </row>
    <row r="111" spans="9:11" ht="12.75">
      <c r="I111" s="5" t="s">
        <v>13</v>
      </c>
      <c r="J111" s="3"/>
      <c r="K111" s="5" t="s">
        <v>13</v>
      </c>
    </row>
    <row r="112" ht="12.75">
      <c r="K112" s="23"/>
    </row>
    <row r="113" spans="1:11" ht="12.75">
      <c r="A113" t="s">
        <v>62</v>
      </c>
      <c r="I113">
        <f>ROUND('[1]cf'!L7/1000,0)+1</f>
        <v>29104</v>
      </c>
      <c r="K113" s="30">
        <v>8463</v>
      </c>
    </row>
    <row r="114" spans="1:11" ht="12.75">
      <c r="A114" t="s">
        <v>63</v>
      </c>
      <c r="I114" s="25">
        <f>ROUND(SUM('[1]cf'!J9:J27)/1000,0)</f>
        <v>-3110</v>
      </c>
      <c r="K114" s="31">
        <v>1420</v>
      </c>
    </row>
    <row r="115" spans="1:11" ht="12.75">
      <c r="A115" t="s">
        <v>64</v>
      </c>
      <c r="I115">
        <f>SUM(I113:I114)</f>
        <v>25994</v>
      </c>
      <c r="K115">
        <f>SUM(K113:K114)</f>
        <v>9883</v>
      </c>
    </row>
    <row r="116" spans="1:11" ht="12.75">
      <c r="A116" t="s">
        <v>65</v>
      </c>
      <c r="K116" s="23"/>
    </row>
    <row r="117" spans="2:11" ht="12.75">
      <c r="B117" t="s">
        <v>66</v>
      </c>
      <c r="I117" s="18">
        <f>ROUND(SUM('[1]cf'!L31:L32)/1000,0)</f>
        <v>-25945</v>
      </c>
      <c r="K117" s="32">
        <v>-21210</v>
      </c>
    </row>
    <row r="118" spans="2:11" ht="12.75">
      <c r="B118" t="s">
        <v>67</v>
      </c>
      <c r="I118" s="18">
        <f>ROUND(SUM('[1]cf'!L36:L40)/1000,0)</f>
        <v>-784</v>
      </c>
      <c r="K118" s="32">
        <v>11092</v>
      </c>
    </row>
    <row r="119" spans="1:11" ht="12.75">
      <c r="A119" t="s">
        <v>68</v>
      </c>
      <c r="I119" s="18">
        <f>ROUND('[1]cf'!L42/1000,0)</f>
        <v>-3908</v>
      </c>
      <c r="K119" s="32">
        <v>-2015</v>
      </c>
    </row>
    <row r="120" spans="1:11" ht="12.75">
      <c r="A120" t="str">
        <f>'[1]cf'!C43</f>
        <v>Retirement benefits paid</v>
      </c>
      <c r="I120">
        <f>ROUND('[1]cf'!L43/1000,0)</f>
        <v>0</v>
      </c>
      <c r="K120" s="32">
        <v>0</v>
      </c>
    </row>
    <row r="121" spans="1:11" ht="12.75">
      <c r="A121" t="s">
        <v>69</v>
      </c>
      <c r="I121" s="21">
        <f>SUM(I115:I120)</f>
        <v>-4643</v>
      </c>
      <c r="J121" s="23"/>
      <c r="K121" s="21">
        <f>SUM(K115:K120)</f>
        <v>-2250</v>
      </c>
    </row>
    <row r="122" ht="12.75">
      <c r="K122" s="23"/>
    </row>
    <row r="123" spans="1:11" ht="12.75">
      <c r="A123" t="s">
        <v>70</v>
      </c>
      <c r="K123" s="23"/>
    </row>
    <row r="124" spans="2:11" ht="12.75">
      <c r="B124" t="s">
        <v>71</v>
      </c>
      <c r="I124" s="18">
        <f>ROUND(SUM('[1]cf'!L51:L54)/1000,0)</f>
        <v>-9677</v>
      </c>
      <c r="J124" s="18"/>
      <c r="K124" s="39">
        <v>-1176</v>
      </c>
    </row>
    <row r="125" spans="2:11" ht="12.75">
      <c r="B125" t="s">
        <v>72</v>
      </c>
      <c r="I125" s="18">
        <f>ROUND(SUM('[1]cf'!L49:L50)/1000,0)</f>
        <v>-1235</v>
      </c>
      <c r="J125" s="18"/>
      <c r="K125" s="39">
        <v>-990</v>
      </c>
    </row>
    <row r="126" spans="1:11" ht="12.75">
      <c r="A126" t="s">
        <v>73</v>
      </c>
      <c r="I126" s="21">
        <f>SUM(I124:I125)</f>
        <v>-10912</v>
      </c>
      <c r="J126" s="24"/>
      <c r="K126" s="21">
        <f>SUM(K124:K125)</f>
        <v>-2166</v>
      </c>
    </row>
    <row r="127" spans="9:11" ht="12.75">
      <c r="I127" s="18"/>
      <c r="J127" s="18"/>
      <c r="K127" s="24"/>
    </row>
    <row r="128" spans="1:11" ht="12.75">
      <c r="A128" t="s">
        <v>74</v>
      </c>
      <c r="I128" s="18"/>
      <c r="J128" s="18"/>
      <c r="K128" s="24"/>
    </row>
    <row r="129" spans="2:11" ht="12.75">
      <c r="B129" t="s">
        <v>75</v>
      </c>
      <c r="I129" s="18">
        <f>ROUND(('[1]cf'!L60+'[1]cf'!L65+'[1]cf'!L62)/1000,0)</f>
        <v>-94</v>
      </c>
      <c r="J129" s="18"/>
      <c r="K129" s="40">
        <v>0</v>
      </c>
    </row>
    <row r="130" spans="2:11" ht="12.75">
      <c r="B130" t="s">
        <v>76</v>
      </c>
      <c r="I130" s="18">
        <f>ROUND('[1]cf'!L61/1000,0)</f>
        <v>15434</v>
      </c>
      <c r="J130" s="18"/>
      <c r="K130" s="39">
        <v>-1350</v>
      </c>
    </row>
    <row r="131" spans="1:11" ht="12.75">
      <c r="A131" t="s">
        <v>77</v>
      </c>
      <c r="I131" s="21">
        <f>SUM(I129:I130)</f>
        <v>15340</v>
      </c>
      <c r="J131" s="24"/>
      <c r="K131" s="21">
        <f>SUM(K129:K130)</f>
        <v>-1350</v>
      </c>
    </row>
    <row r="132" spans="9:11" ht="12.75">
      <c r="I132" s="18"/>
      <c r="J132" s="18"/>
      <c r="K132" s="24"/>
    </row>
    <row r="133" spans="1:11" ht="12.75">
      <c r="A133" t="s">
        <v>78</v>
      </c>
      <c r="I133" s="18">
        <f>+I121+I126+I131</f>
        <v>-215</v>
      </c>
      <c r="J133" s="18"/>
      <c r="K133" s="18">
        <f>+K121+K126+K131</f>
        <v>-5766</v>
      </c>
    </row>
    <row r="134" ht="12.75">
      <c r="K134" s="6"/>
    </row>
    <row r="135" spans="1:11" ht="12.75">
      <c r="A135" t="s">
        <v>79</v>
      </c>
      <c r="I135">
        <f>ROUND('[1]cf'!L69/1000,0)</f>
        <v>6962</v>
      </c>
      <c r="K135" s="30">
        <v>6060</v>
      </c>
    </row>
    <row r="136" ht="12.75">
      <c r="K136" s="6"/>
    </row>
    <row r="137" spans="1:11" ht="13.5" thickBot="1">
      <c r="A137" t="s">
        <v>80</v>
      </c>
      <c r="I137" s="8">
        <f>+I133+I135</f>
        <v>6747</v>
      </c>
      <c r="J137" s="23"/>
      <c r="K137" s="8">
        <f>+K133+K135</f>
        <v>294</v>
      </c>
    </row>
    <row r="138" ht="12.75">
      <c r="O138">
        <f>+I137-'[1]cf'!L71/1000</f>
        <v>2.0228600000009465</v>
      </c>
    </row>
    <row r="140" spans="1:2" ht="12.75" hidden="1">
      <c r="A140" t="s">
        <v>81</v>
      </c>
      <c r="B140" t="s">
        <v>82</v>
      </c>
    </row>
    <row r="141" ht="12.75" hidden="1">
      <c r="B141" t="s">
        <v>83</v>
      </c>
    </row>
    <row r="142" ht="12.75" hidden="1"/>
    <row r="143" spans="1:13" ht="12.75">
      <c r="A143" s="43" t="s">
        <v>84</v>
      </c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7" ht="12.75">
      <c r="A147" s="1" t="s">
        <v>103</v>
      </c>
    </row>
    <row r="149" ht="12.75">
      <c r="A149" s="1" t="s">
        <v>85</v>
      </c>
    </row>
    <row r="150" ht="12.75">
      <c r="A150" s="1" t="str">
        <f>+A8</f>
        <v>For the quarter ended 31 March 2004</v>
      </c>
    </row>
    <row r="152" s="3" customFormat="1" ht="12.75">
      <c r="G152" s="3" t="s">
        <v>86</v>
      </c>
    </row>
    <row r="153" spans="5:11" s="3" customFormat="1" ht="12.75">
      <c r="E153" s="3" t="s">
        <v>87</v>
      </c>
      <c r="G153" s="3" t="s">
        <v>88</v>
      </c>
      <c r="I153" s="3" t="s">
        <v>89</v>
      </c>
      <c r="K153" s="3" t="s">
        <v>90</v>
      </c>
    </row>
    <row r="154" spans="5:13" s="3" customFormat="1" ht="12.75">
      <c r="E154" s="6" t="s">
        <v>91</v>
      </c>
      <c r="G154" s="6" t="s">
        <v>92</v>
      </c>
      <c r="I154" s="6" t="s">
        <v>93</v>
      </c>
      <c r="K154" s="6" t="s">
        <v>94</v>
      </c>
      <c r="M154" s="6" t="s">
        <v>95</v>
      </c>
    </row>
    <row r="155" spans="5:13" s="3" customFormat="1" ht="12.75">
      <c r="E155" s="5" t="s">
        <v>13</v>
      </c>
      <c r="G155" s="5" t="s">
        <v>13</v>
      </c>
      <c r="I155" s="5" t="s">
        <v>13</v>
      </c>
      <c r="K155" s="5" t="s">
        <v>13</v>
      </c>
      <c r="M155" s="5" t="s">
        <v>13</v>
      </c>
    </row>
    <row r="157" ht="12.75">
      <c r="A157" t="s">
        <v>96</v>
      </c>
    </row>
    <row r="158" ht="12.75">
      <c r="A158" s="33" t="s">
        <v>97</v>
      </c>
    </row>
    <row r="160" spans="1:13" ht="12.75">
      <c r="A160" t="s">
        <v>98</v>
      </c>
      <c r="E160">
        <v>265212</v>
      </c>
      <c r="G160">
        <v>54400.26314</v>
      </c>
      <c r="I160">
        <v>104324.68519750322</v>
      </c>
      <c r="K160" s="34">
        <v>-14</v>
      </c>
      <c r="M160">
        <v>423922.8811075032</v>
      </c>
    </row>
    <row r="162" spans="1:13" ht="12.75">
      <c r="A162" t="s">
        <v>99</v>
      </c>
      <c r="E162">
        <f>ROUND('[1]w-cf'!J48/1000,0)</f>
        <v>0</v>
      </c>
      <c r="G162" s="18">
        <f>('[1]w-cf'!J49+'[1]w-cf'!J51+'[1]w-cf'!J52+'[1]w-cf'!J53+'[1]w-cf'!J54+'[1]w-cf'!J55)/1000+(-2)</f>
        <v>-2</v>
      </c>
      <c r="I162">
        <f>('[1]w-cf'!J50/1000)+1</f>
        <v>18710.629274802595</v>
      </c>
      <c r="K162" s="18">
        <f>('[1]w-cf'!J56/1000)</f>
        <v>-93.81616</v>
      </c>
      <c r="M162">
        <f>SUM(E162:K162)</f>
        <v>18614.813114802597</v>
      </c>
    </row>
    <row r="164" spans="1:15" ht="13.5" thickBot="1">
      <c r="A164" t="s">
        <v>100</v>
      </c>
      <c r="E164" s="8">
        <f>SUM(E160:E163)</f>
        <v>265212</v>
      </c>
      <c r="F164" s="8"/>
      <c r="G164" s="8">
        <f>SUM(G160:G163)</f>
        <v>54398.26314</v>
      </c>
      <c r="H164" s="8"/>
      <c r="I164" s="8">
        <f>SUM(I160:I163)</f>
        <v>123035.31447230582</v>
      </c>
      <c r="J164" s="8"/>
      <c r="K164" s="41">
        <f>SUM(K160:K163)</f>
        <v>-107.81616</v>
      </c>
      <c r="L164" s="8"/>
      <c r="M164" s="8">
        <f>SUM(M160:M163)</f>
        <v>442537.6942223058</v>
      </c>
      <c r="O164" s="34">
        <f>+'[1]g-bs-a'!W60/1000-M164</f>
        <v>1.116172852111049</v>
      </c>
    </row>
    <row r="165" ht="12.75">
      <c r="O165">
        <f>SUM(E164:K164)-M164</f>
        <v>0.0672300000442192</v>
      </c>
    </row>
    <row r="167" ht="12.75">
      <c r="A167" t="str">
        <f>A157</f>
        <v>3 months quarter</v>
      </c>
    </row>
    <row r="168" ht="12.75">
      <c r="A168" s="33" t="s">
        <v>101</v>
      </c>
    </row>
    <row r="170" spans="1:13" ht="12.75">
      <c r="A170" t="s">
        <v>98</v>
      </c>
      <c r="E170" s="15">
        <v>252115</v>
      </c>
      <c r="F170" s="15"/>
      <c r="G170" s="15">
        <v>41085</v>
      </c>
      <c r="H170" s="15"/>
      <c r="I170" s="15">
        <v>105616</v>
      </c>
      <c r="J170" s="15"/>
      <c r="K170" s="9">
        <v>0</v>
      </c>
      <c r="L170" s="15"/>
      <c r="M170" s="15">
        <f>SUM(E170:J170)</f>
        <v>398816</v>
      </c>
    </row>
    <row r="171" spans="5:13" ht="12.75">
      <c r="E171" s="15"/>
      <c r="F171" s="15"/>
      <c r="G171" s="15"/>
      <c r="H171" s="15"/>
      <c r="I171" s="15"/>
      <c r="J171" s="15"/>
      <c r="K171" s="9"/>
      <c r="L171" s="15"/>
      <c r="M171" s="15"/>
    </row>
    <row r="172" spans="1:13" ht="12.75">
      <c r="A172" t="s">
        <v>99</v>
      </c>
      <c r="E172" s="15">
        <v>0</v>
      </c>
      <c r="F172" s="15"/>
      <c r="G172" s="42">
        <v>-11855</v>
      </c>
      <c r="H172" s="15"/>
      <c r="I172" s="15">
        <v>1711</v>
      </c>
      <c r="J172" s="15"/>
      <c r="K172" s="9">
        <v>0</v>
      </c>
      <c r="L172" s="15"/>
      <c r="M172" s="42">
        <f>SUM(E172:J172)</f>
        <v>-10144</v>
      </c>
    </row>
    <row r="173" spans="5:13" ht="12.75">
      <c r="E173" s="15"/>
      <c r="F173" s="15"/>
      <c r="G173" s="15"/>
      <c r="H173" s="15"/>
      <c r="I173" s="15"/>
      <c r="J173" s="15"/>
      <c r="K173" s="9"/>
      <c r="L173" s="15"/>
      <c r="M173" s="15"/>
    </row>
    <row r="174" spans="1:15" ht="13.5" thickBot="1">
      <c r="A174" t="str">
        <f>A164</f>
        <v>Balance at end of the period</v>
      </c>
      <c r="E174" s="35">
        <f>SUM(E170:E173)</f>
        <v>252115</v>
      </c>
      <c r="F174" s="35"/>
      <c r="G174" s="35">
        <f>SUM(G170:G173)</f>
        <v>29230</v>
      </c>
      <c r="H174" s="35"/>
      <c r="I174" s="35">
        <f>SUM(I170:I173)</f>
        <v>107327</v>
      </c>
      <c r="J174" s="35"/>
      <c r="K174" s="36">
        <v>0</v>
      </c>
      <c r="L174" s="35"/>
      <c r="M174" s="35">
        <f>SUM(E174:J174)</f>
        <v>388672</v>
      </c>
      <c r="O174" s="34"/>
    </row>
    <row r="175" spans="7:15" ht="12.75">
      <c r="G175" s="23"/>
      <c r="I175" s="23"/>
      <c r="K175" s="23"/>
      <c r="M175" s="23"/>
      <c r="O175" s="34"/>
    </row>
    <row r="176" spans="7:15" ht="12.75">
      <c r="G176" s="23"/>
      <c r="I176" s="23"/>
      <c r="K176" s="23"/>
      <c r="M176" s="23"/>
      <c r="O176" s="34"/>
    </row>
    <row r="177" spans="1:2" ht="12.75" hidden="1">
      <c r="A177" t="s">
        <v>81</v>
      </c>
      <c r="B177" t="s">
        <v>82</v>
      </c>
    </row>
    <row r="178" ht="12.75" hidden="1">
      <c r="B178" t="s">
        <v>83</v>
      </c>
    </row>
    <row r="180" spans="1:13" ht="12.75">
      <c r="A180" s="43" t="s">
        <v>102</v>
      </c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</row>
    <row r="181" spans="1:13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</row>
    <row r="184" ht="12.75">
      <c r="A184" s="1"/>
    </row>
    <row r="185" ht="12.75">
      <c r="A185" s="1"/>
    </row>
    <row r="187" spans="7:13" ht="12.75">
      <c r="G187" s="44"/>
      <c r="H187" s="44"/>
      <c r="I187" s="44"/>
      <c r="J187" s="23"/>
      <c r="K187" s="44"/>
      <c r="L187" s="44"/>
      <c r="M187" s="44"/>
    </row>
    <row r="188" spans="7:13" ht="12.75">
      <c r="G188" s="3"/>
      <c r="H188" s="3"/>
      <c r="I188" s="3"/>
      <c r="K188" s="3"/>
      <c r="L188" s="3"/>
      <c r="M188" s="3"/>
    </row>
    <row r="189" spans="7:13" ht="12.75">
      <c r="G189" s="3"/>
      <c r="H189" s="3"/>
      <c r="I189" s="3"/>
      <c r="K189" s="3"/>
      <c r="L189" s="3"/>
      <c r="M189" s="3"/>
    </row>
    <row r="190" spans="7:13" ht="12.75">
      <c r="G190" s="3"/>
      <c r="H190" s="3"/>
      <c r="I190" s="3"/>
      <c r="K190" s="3"/>
      <c r="L190" s="3"/>
      <c r="M190" s="3"/>
    </row>
    <row r="191" spans="7:13" ht="12.75">
      <c r="G191" s="4"/>
      <c r="H191" s="3"/>
      <c r="I191" s="4"/>
      <c r="K191" s="4"/>
      <c r="L191" s="3"/>
      <c r="M191" s="4"/>
    </row>
    <row r="192" spans="7:13" ht="12.75">
      <c r="G192" s="6"/>
      <c r="H192" s="6"/>
      <c r="I192" s="6"/>
      <c r="J192" s="23"/>
      <c r="K192" s="6"/>
      <c r="L192" s="6"/>
      <c r="M192" s="6"/>
    </row>
    <row r="193" spans="7:13" ht="12.75">
      <c r="G193" s="23"/>
      <c r="H193" s="23"/>
      <c r="I193" s="23"/>
      <c r="J193" s="23"/>
      <c r="K193" s="23"/>
      <c r="L193" s="23"/>
      <c r="M193" s="23"/>
    </row>
    <row r="194" spans="1:13" ht="12.75">
      <c r="A194" s="19"/>
      <c r="G194" s="10"/>
      <c r="H194" s="37"/>
      <c r="I194" s="10"/>
      <c r="J194" s="37"/>
      <c r="K194" s="38"/>
      <c r="L194" s="37"/>
      <c r="M194" s="10"/>
    </row>
    <row r="195" spans="9:13" ht="12.75">
      <c r="I195" s="15"/>
      <c r="M195" s="15"/>
    </row>
    <row r="196" spans="1:14" ht="12.75">
      <c r="A196" s="19"/>
      <c r="G196" s="15"/>
      <c r="H196" s="15"/>
      <c r="I196" s="15"/>
      <c r="J196" s="15"/>
      <c r="K196" s="15"/>
      <c r="L196" s="15"/>
      <c r="M196" s="15"/>
      <c r="N196" s="15"/>
    </row>
    <row r="197" spans="7:14" ht="12.75">
      <c r="G197" s="15"/>
      <c r="H197" s="15"/>
      <c r="I197" s="15"/>
      <c r="J197" s="15"/>
      <c r="K197" s="15"/>
      <c r="L197" s="15"/>
      <c r="M197" s="15"/>
      <c r="N197" s="15"/>
    </row>
    <row r="198" spans="1:14" ht="12.75">
      <c r="A198" s="19"/>
      <c r="G198" s="15"/>
      <c r="H198" s="15"/>
      <c r="I198" s="15"/>
      <c r="J198" s="15"/>
      <c r="K198" s="15"/>
      <c r="L198" s="15"/>
      <c r="M198" s="15"/>
      <c r="N198" s="15"/>
    </row>
    <row r="199" spans="7:14" ht="12.75">
      <c r="G199" s="15"/>
      <c r="H199" s="15"/>
      <c r="I199" s="15"/>
      <c r="J199" s="15"/>
      <c r="K199" s="15"/>
      <c r="L199" s="15"/>
      <c r="M199" s="15"/>
      <c r="N199" s="15"/>
    </row>
  </sheetData>
  <mergeCells count="4">
    <mergeCell ref="A47:M48"/>
    <mergeCell ref="A98:M99"/>
    <mergeCell ref="A143:M144"/>
    <mergeCell ref="A180:M181"/>
  </mergeCells>
  <printOptions/>
  <pageMargins left="0.75" right="0.5" top="1" bottom="1" header="0.25" footer="0.25"/>
  <pageSetup horizontalDpi="300" verticalDpi="300" orientation="portrait" scale="95" r:id="rId1"/>
  <headerFooter alignWithMargins="0">
    <oddFooter>&amp;Rpage &amp;P</oddFooter>
  </headerFooter>
  <rowBreaks count="4" manualBreakCount="4">
    <brk id="50" max="255" man="1"/>
    <brk id="101" max="12" man="1"/>
    <brk id="146" max="255" man="1"/>
    <brk id="18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B840NYF</cp:lastModifiedBy>
  <dcterms:created xsi:type="dcterms:W3CDTF">2004-04-29T04:35:38Z</dcterms:created>
  <dcterms:modified xsi:type="dcterms:W3CDTF">2004-04-29T09:22:07Z</dcterms:modified>
  <cp:category/>
  <cp:version/>
  <cp:contentType/>
  <cp:contentStatus/>
</cp:coreProperties>
</file>